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externalReferences>
    <externalReference r:id="rId7"/>
  </externalReference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<sst xmlns="http://schemas.openxmlformats.org/spreadsheetml/2006/main" count="502" uniqueCount="149">
  <si>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</si>
  <si>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</si>
  <si>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</si>
  <si>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</si>
  <si>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</si>
  <si>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</si>
  <si>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</si>
  <si>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</si>
  <si>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</si>
  <si>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</si>
  <si>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</si>
  <si>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</si>
  <si>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</si>
  <si>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</si>
  <si>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</si>
  <si>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</si>
  <si>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</si>
  <si>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</si>
  <si>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</si>
  <si>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</si>
  <si>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</si>
  <si>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</si>
  <si>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</si>
  <si>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</si>
  <si>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</si>
  <si>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</si>
  <si>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</si>
  <si>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</si>
  <si>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</si>
  <si>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</si>
  <si>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</si>
  <si>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</si>
  <si>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</si>
  <si>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</si>
  <si>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</si>
  <si>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</si>
  <si>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</si>
  <si>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</si>
  <si>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</si>
  <si>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</si>
  <si>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</si>
  <si>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</si>
  <si>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</si>
  <si>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</si>
  <si>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</si>
  <si>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</si>
  <si>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</si>
  <si>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</si>
  <si>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</si>
  <si>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</si>
  <si>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</si>
  <si>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</si>
  <si>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</si>
  <si>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</si>
  <si>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</si>
  <si>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</si>
  <si>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</si>
  <si>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</si>
  <si>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</si>
  <si>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</si>
  <si>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</si>
  <si>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</si>
  <si>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</si>
  <si>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</si>
  <si>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</si>
  <si>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</si>
  <si>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</si>
  <si>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</si>
  <si>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</si>
  <si>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</si>
  <si>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</si>
  <si>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</si>
  <si>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</si>
  <si>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</si>
  <si>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</si>
  <si>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</si>
  <si>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</si>
  <si>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</si>
  <si>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</si>
  <si>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</si>
  <si>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</si>
  <si>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</si>
  <si>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</si>
  <si>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</si>
  <si>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</si>
  <si>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</si>
  <si>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</si>
  <si>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</si>
  <si>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</si>
  <si>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</si>
  <si>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</si>
  <si>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</si>
  <si>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</si>
  <si>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</si>
  <si>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</si>
  <si>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</si>
  <si>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</si>
  <si>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</si>
  <si>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</si>
  <si>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</si>
  <si>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</si>
  <si>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</si>
  <si>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</si>
  <si>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</si>
  <si>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</si>
  <si>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</si>
  <si>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</si>
  <si>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</si>
  <si>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</si>
  <si>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</si>
  <si>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</si>
  <si>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</si>
  <si>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</si>
  <si>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</si>
  <si>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</si>
  <si>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</si>
  <si>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</si>
  <si>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</si>
  <si>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</si>
  <si>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</si>
  <si>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</si>
  <si>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</si>
  <si>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</si>
  <si>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</si>
  <si>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</si>
  <si>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</si>
  <si>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</si>
  <si>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</si>
  <si>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</si>
  <si>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</si>
  <si>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</si>
  <si>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</si>
  <si>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</si>
  <si>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</si>
  <si>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</si>
  <si>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</si>
  <si>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</si>
  <si>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</si>
  <si>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</si>
  <si>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</si>
  <si>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</si>
  <si>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Затверджений план  на січень-березень</t>
  </si>
  <si>
    <t>Відхилення (+,-) до  плану на січень-березень 2016 року</t>
  </si>
  <si>
    <t>% виконання  плану на січень-березень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</si>
  <si>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</si>
  <si>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</si>
  <si>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</si>
  <si>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17.03.2016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</si>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</sst>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G6">
            <v>14190.46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70" zoomScaleNormal="70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5" sqref="D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144</v>
      </c>
      <c r="N3" s="220" t="s">
        <v>145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141</v>
      </c>
      <c r="F4" s="203" t="s">
        <v>34</v>
      </c>
      <c r="G4" s="197" t="s">
        <v>142</v>
      </c>
      <c r="H4" s="205" t="s">
        <v>143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148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146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181814.18000000002</v>
      </c>
      <c r="F8" s="15">
        <f>F9+F15+F18+F19+F20+F32+F17</f>
        <v>168540.36</v>
      </c>
      <c r="G8" s="15">
        <f aca="true" t="shared" si="0" ref="G8:G21">F8-E8</f>
        <v>-13273.820000000036</v>
      </c>
      <c r="H8" s="38">
        <f>F8/E8*100</f>
        <v>92.69923831023519</v>
      </c>
      <c r="I8" s="28">
        <f>F8-D8</f>
        <v>-672509.64</v>
      </c>
      <c r="J8" s="28">
        <f>F8/D8*100</f>
        <v>20.03927947208846</v>
      </c>
      <c r="K8" s="15">
        <f>F8-139482.78</f>
        <v>29057.579999999987</v>
      </c>
      <c r="L8" s="15">
        <f>F8/139482.78*100</f>
        <v>120.8323780182758</v>
      </c>
      <c r="M8" s="15">
        <f>M9+M15+M18+M19+M20+M32+M17</f>
        <v>59101.41</v>
      </c>
      <c r="N8" s="15">
        <f>N9+N15+N18+N19+N20+N32+N17</f>
        <v>28117.334999999985</v>
      </c>
      <c r="O8" s="15">
        <f>N8-M8</f>
        <v>-30984.07500000002</v>
      </c>
      <c r="P8" s="15">
        <f>N8/M8*100</f>
        <v>47.574727912582766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95983.27</v>
      </c>
      <c r="F9" s="170">
        <v>91455.5</v>
      </c>
      <c r="G9" s="36">
        <f t="shared" si="0"/>
        <v>-4527.770000000004</v>
      </c>
      <c r="H9" s="32">
        <f>F9/E9*100</f>
        <v>95.28275083772412</v>
      </c>
      <c r="I9" s="42">
        <f>F9-D9</f>
        <v>-368244.5</v>
      </c>
      <c r="J9" s="42">
        <f>F9/D9*100</f>
        <v>19.894605177289538</v>
      </c>
      <c r="K9" s="106">
        <f>F9-78437.5</f>
        <v>13018</v>
      </c>
      <c r="L9" s="106">
        <f>F9/78437.5*100</f>
        <v>116.59665338645418</v>
      </c>
      <c r="M9" s="32">
        <f>E9-лютий!E9</f>
        <v>35393.005000000005</v>
      </c>
      <c r="N9" s="178">
        <f>F9-лютий!F9</f>
        <v>21130.899999999994</v>
      </c>
      <c r="O9" s="40">
        <f>N9-M9</f>
        <v>-14262.10500000001</v>
      </c>
      <c r="P9" s="42">
        <f>N9/M9*100</f>
        <v>59.70360527454505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86116.84</v>
      </c>
      <c r="F10" s="171">
        <v>63995.99</v>
      </c>
      <c r="G10" s="109">
        <f t="shared" si="0"/>
        <v>-22120.85</v>
      </c>
      <c r="H10" s="32">
        <f aca="true" t="shared" si="1" ref="H10:H31">F10/E10*100</f>
        <v>74.31297990033076</v>
      </c>
      <c r="I10" s="110">
        <f aca="true" t="shared" si="2" ref="I10:I32">F10-D10</f>
        <v>-347444.01</v>
      </c>
      <c r="J10" s="110">
        <f aca="true" t="shared" si="3" ref="J10:J31">F10/D10*100</f>
        <v>15.554148843087692</v>
      </c>
      <c r="K10" s="112">
        <f>F10-69239.48</f>
        <v>-5243.489999999998</v>
      </c>
      <c r="L10" s="112">
        <f>F10/69239.48*100</f>
        <v>92.427022848814</v>
      </c>
      <c r="M10" s="111">
        <f>E10-лютий!E10</f>
        <v>31743</v>
      </c>
      <c r="N10" s="179">
        <f>F10-лютий!F10</f>
        <v>1782.0400000000009</v>
      </c>
      <c r="O10" s="112">
        <f aca="true" t="shared" si="4" ref="O10:O32">N10-M10</f>
        <v>-29960.96</v>
      </c>
      <c r="P10" s="42">
        <f aca="true" t="shared" si="5" ref="P10:P25">N10/M10*100</f>
        <v>5.613962133383741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5584.94</v>
      </c>
      <c r="F11" s="171">
        <v>5355.71</v>
      </c>
      <c r="G11" s="109">
        <f t="shared" si="0"/>
        <v>-229.22999999999956</v>
      </c>
      <c r="H11" s="32">
        <f t="shared" si="1"/>
        <v>95.8955691556221</v>
      </c>
      <c r="I11" s="110">
        <f t="shared" si="2"/>
        <v>-17644.29</v>
      </c>
      <c r="J11" s="110">
        <f t="shared" si="3"/>
        <v>23.285695652173914</v>
      </c>
      <c r="K11" s="112">
        <f>F11-4902.53</f>
        <v>453.1800000000003</v>
      </c>
      <c r="L11" s="112">
        <f>F11/4902.53*100</f>
        <v>109.2437986101054</v>
      </c>
      <c r="M11" s="111">
        <f>E11-лютий!E11</f>
        <v>1649.9999999999995</v>
      </c>
      <c r="N11" s="179">
        <f>F11-лютий!F11</f>
        <v>36.55000000000018</v>
      </c>
      <c r="O11" s="112">
        <f t="shared" si="4"/>
        <v>-1613.4499999999994</v>
      </c>
      <c r="P11" s="42">
        <f t="shared" si="5"/>
        <v>2.215151515151527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845.32</v>
      </c>
      <c r="G12" s="109">
        <f t="shared" si="0"/>
        <v>-260.28999999999985</v>
      </c>
      <c r="H12" s="32">
        <f t="shared" si="1"/>
        <v>76.45734029178463</v>
      </c>
      <c r="I12" s="110">
        <f t="shared" si="2"/>
        <v>-5654.68</v>
      </c>
      <c r="J12" s="110">
        <f t="shared" si="3"/>
        <v>13.004923076923077</v>
      </c>
      <c r="K12" s="112">
        <f>F12-1215.38</f>
        <v>-370.06000000000006</v>
      </c>
      <c r="L12" s="112">
        <f>F12/1215.38*100</f>
        <v>69.5519096907963</v>
      </c>
      <c r="M12" s="111">
        <f>E12-лютий!E12</f>
        <v>479.9999999999999</v>
      </c>
      <c r="N12" s="179">
        <f>F12-лютий!F12</f>
        <v>23.290000000000077</v>
      </c>
      <c r="O12" s="112">
        <f t="shared" si="4"/>
        <v>-456.7099999999998</v>
      </c>
      <c r="P12" s="42">
        <f t="shared" si="5"/>
        <v>4.852083333333351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1547.64</v>
      </c>
      <c r="G13" s="109">
        <f t="shared" si="0"/>
        <v>-362.1999999999998</v>
      </c>
      <c r="H13" s="32">
        <f t="shared" si="1"/>
        <v>81.03506052863068</v>
      </c>
      <c r="I13" s="110">
        <f t="shared" si="2"/>
        <v>-10852.36</v>
      </c>
      <c r="J13" s="110">
        <f t="shared" si="3"/>
        <v>12.480967741935485</v>
      </c>
      <c r="K13" s="112">
        <f>F13-1220.33</f>
        <v>327.3100000000002</v>
      </c>
      <c r="L13" s="112">
        <f>F13/1220.33*100</f>
        <v>126.82143354666363</v>
      </c>
      <c r="M13" s="111">
        <f>E13-лютий!E13</f>
        <v>880.0049999999999</v>
      </c>
      <c r="N13" s="179">
        <f>F13-лютий!F13</f>
        <v>33.15000000000009</v>
      </c>
      <c r="O13" s="112">
        <f t="shared" si="4"/>
        <v>-846.8549999999998</v>
      </c>
      <c r="P13" s="42">
        <f t="shared" si="5"/>
        <v>3.767024050999721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454.97</v>
      </c>
      <c r="G14" s="109">
        <f t="shared" si="0"/>
        <v>-811.0699999999999</v>
      </c>
      <c r="H14" s="32">
        <f t="shared" si="1"/>
        <v>35.936463302897224</v>
      </c>
      <c r="I14" s="110">
        <f t="shared" si="2"/>
        <v>-5905.03</v>
      </c>
      <c r="J14" s="110">
        <f t="shared" si="3"/>
        <v>7.153616352201259</v>
      </c>
      <c r="K14" s="112">
        <f>F14-1859.78</f>
        <v>-1404.81</v>
      </c>
      <c r="L14" s="112">
        <f>F14/1859.78*100</f>
        <v>24.463646237727044</v>
      </c>
      <c r="M14" s="111">
        <f>E14-лютий!E14</f>
        <v>640</v>
      </c>
      <c r="N14" s="179">
        <f>F14-лютий!F14</f>
        <v>0</v>
      </c>
      <c r="O14" s="112">
        <f t="shared" si="4"/>
        <v>-640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184.3</v>
      </c>
      <c r="G15" s="36">
        <f t="shared" si="0"/>
        <v>74.30000000000001</v>
      </c>
      <c r="H15" s="32"/>
      <c r="I15" s="42">
        <f t="shared" si="2"/>
        <v>-315.7</v>
      </c>
      <c r="J15" s="42">
        <f t="shared" si="3"/>
        <v>36.86000000000001</v>
      </c>
      <c r="K15" s="43">
        <f>F15-(-1019.98)</f>
        <v>1204.28</v>
      </c>
      <c r="L15" s="43">
        <f>F15/(-1019.98)*100</f>
        <v>-18.068981744740093</v>
      </c>
      <c r="M15" s="32">
        <f>E15-лютий!E15</f>
        <v>110</v>
      </c>
      <c r="N15" s="178">
        <f>F15-лютий!F15</f>
        <v>99.165</v>
      </c>
      <c r="O15" s="40">
        <f t="shared" si="4"/>
        <v>-10.834999999999994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11998.1</v>
      </c>
      <c r="G19" s="36">
        <f t="shared" si="0"/>
        <v>-8062.300000000001</v>
      </c>
      <c r="H19" s="32">
        <f t="shared" si="1"/>
        <v>59.80987417997646</v>
      </c>
      <c r="I19" s="42">
        <f t="shared" si="2"/>
        <v>-97901.9</v>
      </c>
      <c r="J19" s="42">
        <f t="shared" si="3"/>
        <v>10.917288444040036</v>
      </c>
      <c r="K19" s="185">
        <f>F19-10070.48</f>
        <v>1927.6200000000008</v>
      </c>
      <c r="L19" s="185">
        <f>F19/10070.48*100</f>
        <v>119.14129217276634</v>
      </c>
      <c r="M19" s="32">
        <f>E19-лютий!E19</f>
        <v>8000.000000000002</v>
      </c>
      <c r="N19" s="178">
        <f>F19-лютий!F19</f>
        <v>1137.1000000000004</v>
      </c>
      <c r="O19" s="40">
        <f t="shared" si="4"/>
        <v>-6862.9000000000015</v>
      </c>
      <c r="P19" s="42">
        <f t="shared" si="5"/>
        <v>14.21375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65650.51000000001</v>
      </c>
      <c r="F20" s="184">
        <f>F21+F25+F27+F26</f>
        <v>64796.60999999999</v>
      </c>
      <c r="G20" s="36">
        <f t="shared" si="0"/>
        <v>-853.900000000016</v>
      </c>
      <c r="H20" s="32">
        <f t="shared" si="1"/>
        <v>98.6993246510956</v>
      </c>
      <c r="I20" s="42">
        <f t="shared" si="2"/>
        <v>-206143.39</v>
      </c>
      <c r="J20" s="42">
        <f t="shared" si="3"/>
        <v>23.91548313279693</v>
      </c>
      <c r="K20" s="132">
        <f>F20-49978.98</f>
        <v>14817.62999999999</v>
      </c>
      <c r="L20" s="110">
        <f>F20/49978.98*100</f>
        <v>129.64772390312888</v>
      </c>
      <c r="M20" s="32">
        <f>M21+M25+M26+M27</f>
        <v>15598.405</v>
      </c>
      <c r="N20" s="178">
        <f>F20-лютий!F20</f>
        <v>5750.169999999991</v>
      </c>
      <c r="O20" s="40">
        <f t="shared" si="4"/>
        <v>-9848.23500000001</v>
      </c>
      <c r="P20" s="42">
        <f t="shared" si="5"/>
        <v>36.86383319320142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35341.26</v>
      </c>
      <c r="F21" s="173">
        <f>F22+F23+F24</f>
        <v>28433.1</v>
      </c>
      <c r="G21" s="36">
        <f t="shared" si="0"/>
        <v>-6908.1600000000035</v>
      </c>
      <c r="H21" s="32">
        <f t="shared" si="1"/>
        <v>80.45298894266926</v>
      </c>
      <c r="I21" s="42">
        <f t="shared" si="2"/>
        <v>-132966.9</v>
      </c>
      <c r="J21" s="42">
        <f t="shared" si="3"/>
        <v>17.61654275092937</v>
      </c>
      <c r="K21" s="132">
        <f>F21-24610.26</f>
        <v>3822.84</v>
      </c>
      <c r="L21" s="110">
        <f>F21/24610.26*100</f>
        <v>115.53352138498335</v>
      </c>
      <c r="M21" s="32">
        <f>M22+M23+M24</f>
        <v>11845</v>
      </c>
      <c r="N21" s="178">
        <f>F21-лютий!F21</f>
        <v>2949.0499999999993</v>
      </c>
      <c r="O21" s="40">
        <f t="shared" si="4"/>
        <v>-8895.95</v>
      </c>
      <c r="P21" s="42">
        <f t="shared" si="5"/>
        <v>24.897002954833255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3668.3</v>
      </c>
      <c r="G22" s="109">
        <f>F22-E22</f>
        <v>136.70000000000027</v>
      </c>
      <c r="H22" s="111">
        <f t="shared" si="1"/>
        <v>103.87076679125609</v>
      </c>
      <c r="I22" s="110">
        <f t="shared" si="2"/>
        <v>-14831.7</v>
      </c>
      <c r="J22" s="110">
        <f t="shared" si="3"/>
        <v>19.82864864864865</v>
      </c>
      <c r="K22" s="174">
        <f>F22-526.28</f>
        <v>3142.0200000000004</v>
      </c>
      <c r="L22" s="174">
        <f>F22/526.28*100</f>
        <v>697.0243976590408</v>
      </c>
      <c r="M22" s="111">
        <f>E22-лютий!E22</f>
        <v>240</v>
      </c>
      <c r="N22" s="179">
        <f>F22-лютий!F22</f>
        <v>115.5300000000002</v>
      </c>
      <c r="O22" s="112">
        <f t="shared" si="4"/>
        <v>-124.4699999999998</v>
      </c>
      <c r="P22" s="110">
        <f t="shared" si="5"/>
        <v>48.13750000000008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205.7</v>
      </c>
      <c r="G23" s="109">
        <f>F23-E23</f>
        <v>3.859999999999985</v>
      </c>
      <c r="H23" s="111">
        <f t="shared" si="1"/>
        <v>101.9124058660325</v>
      </c>
      <c r="I23" s="110">
        <f t="shared" si="2"/>
        <v>-2594.3</v>
      </c>
      <c r="J23" s="110">
        <f t="shared" si="3"/>
        <v>7.346428571428571</v>
      </c>
      <c r="K23" s="110">
        <f>F23-37.7</f>
        <v>168</v>
      </c>
      <c r="L23" s="110">
        <f>F23/37.7*100</f>
        <v>545.6233421750662</v>
      </c>
      <c r="M23" s="111">
        <f>E23-лютий!E23</f>
        <v>0</v>
      </c>
      <c r="N23" s="179">
        <f>F23-лютий!F23</f>
        <v>31.48999999999998</v>
      </c>
      <c r="O23" s="112">
        <f t="shared" si="4"/>
        <v>31.48999999999998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31607.82</v>
      </c>
      <c r="F24" s="171">
        <v>24559.1</v>
      </c>
      <c r="G24" s="109">
        <f>F24-E24</f>
        <v>-7048.720000000001</v>
      </c>
      <c r="H24" s="111">
        <f t="shared" si="1"/>
        <v>77.6994427328427</v>
      </c>
      <c r="I24" s="110">
        <f t="shared" si="2"/>
        <v>-115540.9</v>
      </c>
      <c r="J24" s="110">
        <f t="shared" si="3"/>
        <v>17.529693076374016</v>
      </c>
      <c r="K24" s="174">
        <f>F24-24046.28</f>
        <v>512.8199999999997</v>
      </c>
      <c r="L24" s="174">
        <f>F24/24046.28*100</f>
        <v>102.13263756389762</v>
      </c>
      <c r="M24" s="111">
        <f>E24-лютий!E24</f>
        <v>11605</v>
      </c>
      <c r="N24" s="179">
        <f>F24-лютий!F24</f>
        <v>2802.029999999999</v>
      </c>
      <c r="O24" s="112">
        <f t="shared" si="4"/>
        <v>-8802.970000000001</v>
      </c>
      <c r="P24" s="110">
        <f t="shared" si="5"/>
        <v>24.145023696682454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20.81</v>
      </c>
      <c r="G25" s="36">
        <f>F25-E25</f>
        <v>6.799999999999999</v>
      </c>
      <c r="H25" s="32">
        <f t="shared" si="1"/>
        <v>148.53675945753034</v>
      </c>
      <c r="I25" s="42">
        <f t="shared" si="2"/>
        <v>-56.19</v>
      </c>
      <c r="J25" s="42">
        <f t="shared" si="3"/>
        <v>27.025974025974026</v>
      </c>
      <c r="K25" s="132">
        <f>F25-17.62</f>
        <v>3.1899999999999977</v>
      </c>
      <c r="L25" s="132">
        <f>F25/17.62*100</f>
        <v>118.10442678774118</v>
      </c>
      <c r="M25" s="32">
        <f>E25-лютий!E25</f>
        <v>3.4049999999999994</v>
      </c>
      <c r="N25" s="178">
        <f>F25-лютий!F25</f>
        <v>0</v>
      </c>
      <c r="O25" s="40">
        <f t="shared" si="4"/>
        <v>-3.4049999999999994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-59.4</v>
      </c>
      <c r="G26" s="36">
        <f aca="true" t="shared" si="6" ref="G26:G32">F26-E26</f>
        <v>-59.4</v>
      </c>
      <c r="H26" s="32"/>
      <c r="I26" s="42">
        <f t="shared" si="2"/>
        <v>-59.4</v>
      </c>
      <c r="J26" s="42"/>
      <c r="K26" s="132">
        <f>F26-12.89</f>
        <v>-72.28999999999999</v>
      </c>
      <c r="L26" s="132">
        <f>F26/12.89*100</f>
        <v>-460.822342901474</v>
      </c>
      <c r="M26" s="32">
        <f>E26-лютий!E26</f>
        <v>0</v>
      </c>
      <c r="N26" s="178">
        <f>F26-лютий!F26</f>
        <v>-6.469999999999999</v>
      </c>
      <c r="O26" s="40">
        <f t="shared" si="4"/>
        <v>-6.469999999999999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30295.24</v>
      </c>
      <c r="F27" s="172">
        <v>36402.1</v>
      </c>
      <c r="G27" s="36">
        <f t="shared" si="6"/>
        <v>6106.859999999997</v>
      </c>
      <c r="H27" s="32">
        <f t="shared" si="1"/>
        <v>120.1578201724099</v>
      </c>
      <c r="I27" s="42">
        <f t="shared" si="2"/>
        <v>-73060.9</v>
      </c>
      <c r="J27" s="42">
        <f t="shared" si="3"/>
        <v>33.25516384531759</v>
      </c>
      <c r="K27" s="106">
        <f>F27-25338.21</f>
        <v>11063.89</v>
      </c>
      <c r="L27" s="106">
        <f>F27/25338.21*100</f>
        <v>143.6648445174304</v>
      </c>
      <c r="M27" s="32">
        <f>E27-лютий!E27</f>
        <v>3750</v>
      </c>
      <c r="N27" s="178">
        <f>F27-лютий!F27</f>
        <v>2807.5899999999965</v>
      </c>
      <c r="O27" s="40">
        <f t="shared" si="4"/>
        <v>-942.4100000000035</v>
      </c>
      <c r="P27" s="42">
        <f>N27/M27*100</f>
        <v>74.86906666666657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6"/>
        <v>0.07</v>
      </c>
      <c r="H28" s="111"/>
      <c r="I28" s="110">
        <f t="shared" si="2"/>
        <v>0.07</v>
      </c>
      <c r="J28" s="110"/>
      <c r="K28" s="142">
        <f>F28-(-1.24)</f>
        <v>1.31</v>
      </c>
      <c r="L28" s="142"/>
      <c r="M28" s="111">
        <f>E28-лютий!E28</f>
        <v>0</v>
      </c>
      <c r="N28" s="179">
        <f>F28-лютий!F28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6455.97</v>
      </c>
      <c r="F29" s="171">
        <v>8715.72</v>
      </c>
      <c r="G29" s="109">
        <f t="shared" si="6"/>
        <v>2259.749999999999</v>
      </c>
      <c r="H29" s="111">
        <f t="shared" si="1"/>
        <v>135.0024860710319</v>
      </c>
      <c r="I29" s="110">
        <f t="shared" si="2"/>
        <v>-18884.28</v>
      </c>
      <c r="J29" s="110">
        <f t="shared" si="3"/>
        <v>31.57869565217391</v>
      </c>
      <c r="K29" s="142">
        <f>F29-6631.29</f>
        <v>2084.4299999999994</v>
      </c>
      <c r="L29" s="142">
        <f>F29/6631.29*100</f>
        <v>131.43325054401177</v>
      </c>
      <c r="M29" s="111">
        <f>E29-лютий!E29</f>
        <v>800</v>
      </c>
      <c r="N29" s="179">
        <f>F29-лютий!F29</f>
        <v>36.44999999999891</v>
      </c>
      <c r="O29" s="112">
        <f t="shared" si="4"/>
        <v>-763.5500000000011</v>
      </c>
      <c r="P29" s="110">
        <f>N29/M29*100</f>
        <v>4.556249999999864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23836.08</v>
      </c>
      <c r="F30" s="171">
        <v>25169.35</v>
      </c>
      <c r="G30" s="109">
        <f t="shared" si="6"/>
        <v>1333.2699999999968</v>
      </c>
      <c r="H30" s="111">
        <f t="shared" si="1"/>
        <v>105.59349523915004</v>
      </c>
      <c r="I30" s="110">
        <f t="shared" si="2"/>
        <v>-56642.65</v>
      </c>
      <c r="J30" s="110">
        <f t="shared" si="3"/>
        <v>30.764863345230527</v>
      </c>
      <c r="K30" s="142">
        <f>F30-18703.62</f>
        <v>6465.73</v>
      </c>
      <c r="L30" s="142">
        <f>F30/18603.62*100</f>
        <v>135.29275485093763</v>
      </c>
      <c r="M30" s="111">
        <f>E30-лютий!E30</f>
        <v>2950</v>
      </c>
      <c r="N30" s="179">
        <f>F30-лютий!F30</f>
        <v>261.6800000000003</v>
      </c>
      <c r="O30" s="112">
        <f t="shared" si="4"/>
        <v>-2688.3199999999997</v>
      </c>
      <c r="P30" s="110">
        <f>N30/M30*100</f>
        <v>8.870508474576281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8405.031</v>
      </c>
      <c r="F33" s="15">
        <f>F34+F35+F36+F37+F38+F39+F41+F42+F43+F44+F45+F50+F51+F55-0.02</f>
        <v>9685.369999999999</v>
      </c>
      <c r="G33" s="15">
        <f>G34+G35+G36+G37+G38+G39+G41+G42+G43+G44+G45+G50+G51+G55</f>
        <v>1280.3590000000002</v>
      </c>
      <c r="H33" s="38">
        <f>F33/E33*100</f>
        <v>115.23300746897898</v>
      </c>
      <c r="I33" s="28">
        <f>F33-D33</f>
        <v>-33134.630000000005</v>
      </c>
      <c r="J33" s="28">
        <f>F33/D33*100</f>
        <v>22.618799626342827</v>
      </c>
      <c r="K33" s="15">
        <f>F33-7649.28</f>
        <v>2036.0899999999992</v>
      </c>
      <c r="L33" s="15">
        <f>F33/7649.28*100</f>
        <v>126.61806078480589</v>
      </c>
      <c r="M33" s="15">
        <f>M34+M35+M36+M37+M38+M39+M41+M42+M43+M44+M45+M50+M51+M55</f>
        <v>3470.005</v>
      </c>
      <c r="N33" s="15">
        <f>N34+N35+N36+N37+N38+N39+N41+N42+N43+N44+N45+N50+N51+N55</f>
        <v>4768.93</v>
      </c>
      <c r="O33" s="15">
        <f>O34+O35+O36+O37+O38+O39+O41+O42+O43+O44+O45+O50+O51+O55</f>
        <v>1298.9250000000004</v>
      </c>
      <c r="P33" s="15">
        <f>N33/M33*100</f>
        <v>137.43294318019713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1432</v>
      </c>
      <c r="F35" s="170">
        <v>3537.38</v>
      </c>
      <c r="G35" s="36">
        <f aca="true" t="shared" si="9" ref="G35:G57">F35-E35</f>
        <v>2105.38</v>
      </c>
      <c r="H35" s="32">
        <f t="shared" si="7"/>
        <v>247.0237430167598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1000</v>
      </c>
      <c r="N35" s="178">
        <f>F35-лютий!F35</f>
        <v>3105.28</v>
      </c>
      <c r="O35" s="40">
        <f aca="true" t="shared" si="11" ref="O35:O57">N35-M35</f>
        <v>2105.28</v>
      </c>
      <c r="P35" s="42">
        <f t="shared" si="8"/>
        <v>310.528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26.8</v>
      </c>
      <c r="G36" s="36">
        <f t="shared" si="9"/>
        <v>-24.639999999999997</v>
      </c>
      <c r="H36" s="32">
        <f t="shared" si="7"/>
        <v>52.099533437014</v>
      </c>
      <c r="I36" s="42">
        <f t="shared" si="10"/>
        <v>-373.2</v>
      </c>
      <c r="J36" s="42">
        <f aca="true" t="shared" si="12" ref="J36:J56">F36/D36*100</f>
        <v>6.7</v>
      </c>
      <c r="K36" s="42">
        <f>F36-4.04</f>
        <v>22.76</v>
      </c>
      <c r="L36" s="42">
        <f>F36/4.04*100</f>
        <v>663.3663366336633</v>
      </c>
      <c r="M36" s="32">
        <f>E36-лютий!E36</f>
        <v>19.999999999999996</v>
      </c>
      <c r="N36" s="178">
        <f>F36-лютий!F36</f>
        <v>2.4200000000000017</v>
      </c>
      <c r="O36" s="40">
        <f t="shared" si="11"/>
        <v>-17.579999999999995</v>
      </c>
      <c r="P36" s="42">
        <f t="shared" si="8"/>
        <v>12.10000000000001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10.4</v>
      </c>
      <c r="G38" s="36">
        <f t="shared" si="9"/>
        <v>-19.6</v>
      </c>
      <c r="H38" s="32">
        <f t="shared" si="7"/>
        <v>34.66666666666667</v>
      </c>
      <c r="I38" s="42">
        <f t="shared" si="10"/>
        <v>-139.6</v>
      </c>
      <c r="J38" s="42">
        <f t="shared" si="12"/>
        <v>6.933333333333333</v>
      </c>
      <c r="K38" s="42">
        <f>F38-30.76</f>
        <v>-20.36</v>
      </c>
      <c r="L38" s="42">
        <f>F38/30.76*100</f>
        <v>33.81014304291287</v>
      </c>
      <c r="M38" s="32">
        <f>E38-лютий!E38</f>
        <v>10</v>
      </c>
      <c r="N38" s="178">
        <f>F38-лютий!F38</f>
        <v>6.75</v>
      </c>
      <c r="O38" s="40">
        <f t="shared" si="11"/>
        <v>-3.25</v>
      </c>
      <c r="P38" s="42">
        <f t="shared" si="8"/>
        <v>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1807.8</v>
      </c>
      <c r="G41" s="36">
        <f t="shared" si="9"/>
        <v>-331.22</v>
      </c>
      <c r="H41" s="32">
        <f t="shared" si="7"/>
        <v>84.51533880001122</v>
      </c>
      <c r="I41" s="42">
        <f t="shared" si="10"/>
        <v>-8092.2</v>
      </c>
      <c r="J41" s="42">
        <f t="shared" si="12"/>
        <v>18.26060606060606</v>
      </c>
      <c r="K41" s="42">
        <f>F41-2528.58</f>
        <v>-720.78</v>
      </c>
      <c r="L41" s="42">
        <f>F41/2528.58*100</f>
        <v>71.4946728994139</v>
      </c>
      <c r="M41" s="32">
        <f>E41-лютий!E41</f>
        <v>800.0049999999999</v>
      </c>
      <c r="N41" s="178">
        <f>F41-лютий!F41</f>
        <v>456.6299999999999</v>
      </c>
      <c r="O41" s="40">
        <f t="shared" si="11"/>
        <v>-343.375</v>
      </c>
      <c r="P41" s="42">
        <f t="shared" si="8"/>
        <v>57.07839326004211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</v>
      </c>
      <c r="G44" s="36">
        <f t="shared" si="9"/>
        <v>-14.730000000000018</v>
      </c>
      <c r="H44" s="32">
        <f t="shared" si="7"/>
        <v>99.26942858701636</v>
      </c>
      <c r="I44" s="42">
        <f t="shared" si="10"/>
        <v>-6498.5</v>
      </c>
      <c r="J44" s="42">
        <f t="shared" si="12"/>
        <v>23.54705882352941</v>
      </c>
      <c r="K44" s="42">
        <f>F44-1946.14</f>
        <v>55.3599999999999</v>
      </c>
      <c r="L44" s="42">
        <f>F44/1946.14*100</f>
        <v>102.84460521853515</v>
      </c>
      <c r="M44" s="32">
        <f>E44-лютий!E44</f>
        <v>650</v>
      </c>
      <c r="N44" s="178">
        <f>F44-лютий!F44</f>
        <v>698.1600000000001</v>
      </c>
      <c r="O44" s="40">
        <f t="shared" si="11"/>
        <v>48.16000000000008</v>
      </c>
      <c r="P44" s="42">
        <f t="shared" si="8"/>
        <v>107.40923076923079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1226.2</v>
      </c>
      <c r="G45" s="36">
        <f t="shared" si="9"/>
        <v>-146.99</v>
      </c>
      <c r="H45" s="32">
        <f t="shared" si="7"/>
        <v>89.29572746670162</v>
      </c>
      <c r="I45" s="42">
        <f t="shared" si="10"/>
        <v>-6073.8</v>
      </c>
      <c r="J45" s="42">
        <f t="shared" si="12"/>
        <v>16.797260273972604</v>
      </c>
      <c r="K45" s="132">
        <f>F45-2181.98</f>
        <v>-955.78</v>
      </c>
      <c r="L45" s="132">
        <f>F45/2181.98*100</f>
        <v>56.1966654139818</v>
      </c>
      <c r="M45" s="32">
        <f>E45-лютий!E45</f>
        <v>477</v>
      </c>
      <c r="N45" s="178">
        <f>F45-лютий!F45</f>
        <v>261.0400000000001</v>
      </c>
      <c r="O45" s="40">
        <f t="shared" si="11"/>
        <v>-215.95999999999992</v>
      </c>
      <c r="P45" s="132">
        <f t="shared" si="8"/>
        <v>54.72536687631029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89.43</v>
      </c>
      <c r="G46" s="36">
        <f t="shared" si="9"/>
        <v>-99.56</v>
      </c>
      <c r="H46" s="32">
        <f t="shared" si="7"/>
        <v>47.31996401926028</v>
      </c>
      <c r="I46" s="110">
        <f t="shared" si="10"/>
        <v>-1010.5699999999999</v>
      </c>
      <c r="J46" s="42">
        <f t="shared" si="12"/>
        <v>8.13</v>
      </c>
      <c r="K46" s="110">
        <f>F46-216.18</f>
        <v>-126.75</v>
      </c>
      <c r="L46" s="110">
        <f>F46/216.18*100</f>
        <v>41.36830419095199</v>
      </c>
      <c r="M46" s="32">
        <f>E46-лютий!E46</f>
        <v>76.00000000000001</v>
      </c>
      <c r="N46" s="178">
        <f>F46-лютий!F46</f>
        <v>4</v>
      </c>
      <c r="O46" s="112">
        <f t="shared" si="11"/>
        <v>-72.00000000000001</v>
      </c>
      <c r="P46" s="132">
        <f t="shared" si="8"/>
        <v>5.263157894736841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0.08</v>
      </c>
      <c r="G47" s="36">
        <f t="shared" si="9"/>
        <v>-1.96</v>
      </c>
      <c r="H47" s="32">
        <f t="shared" si="7"/>
        <v>3.9215686274509802</v>
      </c>
      <c r="I47" s="110">
        <f t="shared" si="10"/>
        <v>-44.92</v>
      </c>
      <c r="J47" s="42">
        <f t="shared" si="12"/>
        <v>0.17777777777777778</v>
      </c>
      <c r="K47" s="110">
        <f>F47-43.71</f>
        <v>-43.63</v>
      </c>
      <c r="L47" s="110">
        <f>F47/43.71*100</f>
        <v>0.18302447952413636</v>
      </c>
      <c r="M47" s="32">
        <f>E47-лютий!E47</f>
        <v>1.0050000000000001</v>
      </c>
      <c r="N47" s="178">
        <f>F47-лютий!F47</f>
        <v>0</v>
      </c>
      <c r="O47" s="112">
        <f t="shared" si="11"/>
        <v>-1.0050000000000001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911.16</v>
      </c>
      <c r="G49" s="36">
        <f t="shared" si="9"/>
        <v>-271.0100000000001</v>
      </c>
      <c r="H49" s="32">
        <f t="shared" si="7"/>
        <v>77.07520914927632</v>
      </c>
      <c r="I49" s="110">
        <f t="shared" si="10"/>
        <v>-5242.84</v>
      </c>
      <c r="J49" s="42">
        <f t="shared" si="12"/>
        <v>14.805979850503736</v>
      </c>
      <c r="K49" s="110">
        <f>F49-1921.57</f>
        <v>-1010.41</v>
      </c>
      <c r="L49" s="110">
        <f>F49/1921.57*100</f>
        <v>47.41747633445568</v>
      </c>
      <c r="M49" s="32">
        <f>E49-лютий!E49</f>
        <v>400.0000000000001</v>
      </c>
      <c r="N49" s="178">
        <f>F49-лютий!F49</f>
        <v>32.50999999999999</v>
      </c>
      <c r="O49" s="112">
        <f t="shared" si="11"/>
        <v>-367.4900000000001</v>
      </c>
      <c r="P49" s="132">
        <f t="shared" si="8"/>
        <v>8.127499999999996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943.8</v>
      </c>
      <c r="G51" s="36">
        <f t="shared" si="9"/>
        <v>-64.18000000000006</v>
      </c>
      <c r="H51" s="32">
        <f t="shared" si="7"/>
        <v>93.63281017480504</v>
      </c>
      <c r="I51" s="42">
        <f t="shared" si="10"/>
        <v>-3856.2</v>
      </c>
      <c r="J51" s="42">
        <f t="shared" si="12"/>
        <v>19.662499999999998</v>
      </c>
      <c r="K51" s="42">
        <f>F51-960.47</f>
        <v>-16.670000000000073</v>
      </c>
      <c r="L51" s="42">
        <f>F51/960.47*100</f>
        <v>98.26439139171447</v>
      </c>
      <c r="M51" s="32">
        <f>E51-лютий!E51</f>
        <v>370</v>
      </c>
      <c r="N51" s="178">
        <f>F51-лютий!F51</f>
        <v>221.14</v>
      </c>
      <c r="O51" s="40">
        <f t="shared" si="11"/>
        <v>-148.86</v>
      </c>
      <c r="P51" s="42">
        <f t="shared" si="8"/>
        <v>59.76756756756756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196.6</v>
      </c>
      <c r="G53" s="36"/>
      <c r="H53" s="32"/>
      <c r="I53" s="42"/>
      <c r="J53" s="42"/>
      <c r="K53" s="112">
        <f>F53-239.6</f>
        <v>-43</v>
      </c>
      <c r="L53" s="112">
        <f>F53/239.6*100</f>
        <v>82.0534223706177</v>
      </c>
      <c r="M53" s="111"/>
      <c r="N53" s="179">
        <f>F53-лютий!F53</f>
        <v>49.29999999999998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33.1</v>
      </c>
      <c r="G55" s="36">
        <f t="shared" si="9"/>
        <v>13.100000000000001</v>
      </c>
      <c r="H55" s="32">
        <f t="shared" si="7"/>
        <v>165.5</v>
      </c>
      <c r="I55" s="42">
        <f t="shared" si="10"/>
        <v>13.100000000000001</v>
      </c>
      <c r="J55" s="42">
        <f t="shared" si="12"/>
        <v>165.5</v>
      </c>
      <c r="K55" s="42">
        <f>F55-0</f>
        <v>33.1</v>
      </c>
      <c r="L55" s="42"/>
      <c r="M55" s="32">
        <f>E55-лютий!E55</f>
        <v>0</v>
      </c>
      <c r="N55" s="178">
        <f>F55-лютий!F55</f>
        <v>0.9100000000000037</v>
      </c>
      <c r="O55" s="40">
        <f t="shared" si="11"/>
        <v>0.9100000000000037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3.8</v>
      </c>
      <c r="G56" s="36">
        <f t="shared" si="9"/>
        <v>-1.5</v>
      </c>
      <c r="H56" s="32">
        <f t="shared" si="7"/>
        <v>71.69811320754717</v>
      </c>
      <c r="I56" s="42">
        <f t="shared" si="10"/>
        <v>-26.2</v>
      </c>
      <c r="J56" s="42">
        <f t="shared" si="12"/>
        <v>12.666666666666664</v>
      </c>
      <c r="K56" s="42">
        <f>F56-6.1</f>
        <v>-2.3</v>
      </c>
      <c r="L56" s="42">
        <f>F56/6.1*100</f>
        <v>62.295081967213115</v>
      </c>
      <c r="M56" s="32">
        <f>E56-лютий!E56</f>
        <v>2.3</v>
      </c>
      <c r="N56" s="178">
        <f>F56-лютий!F56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190224.511</v>
      </c>
      <c r="F58" s="15">
        <f>F8+F33+F56+F57</f>
        <v>178229.52999999997</v>
      </c>
      <c r="G58" s="37">
        <f>F58-E58</f>
        <v>-11994.981000000029</v>
      </c>
      <c r="H58" s="38">
        <f>F58/E58*100</f>
        <v>93.69430314897745</v>
      </c>
      <c r="I58" s="28">
        <f>F58-D58</f>
        <v>-705671.0700000001</v>
      </c>
      <c r="J58" s="28">
        <f>F58/D58*100</f>
        <v>20.163978845585124</v>
      </c>
      <c r="K58" s="28">
        <f>F58-147138.18</f>
        <v>31091.349999999977</v>
      </c>
      <c r="L58" s="28">
        <f>F58/147138.18*100</f>
        <v>121.13071535885518</v>
      </c>
      <c r="M58" s="15">
        <f>M8+M33+M56+M57</f>
        <v>62573.715000000004</v>
      </c>
      <c r="N58" s="15">
        <f>N8+N33+N56+N57</f>
        <v>32886.264999999985</v>
      </c>
      <c r="O58" s="41">
        <f>N58-M58</f>
        <v>-29687.45000000002</v>
      </c>
      <c r="P58" s="28">
        <f>N58/M58*100</f>
        <v>52.55603730735818</v>
      </c>
      <c r="Q58" s="28">
        <f>N58-34768</f>
        <v>-1881.7350000000151</v>
      </c>
      <c r="R58" s="128">
        <f>N58/34768</f>
        <v>0.9458773872526457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0.11</v>
      </c>
      <c r="G67" s="36">
        <f aca="true" t="shared" si="13" ref="G67:G77">F67-E67</f>
        <v>-71.89</v>
      </c>
      <c r="H67" s="32"/>
      <c r="I67" s="43">
        <f aca="true" t="shared" si="14" ref="I67:I77">F67-D67</f>
        <v>-4199.89</v>
      </c>
      <c r="J67" s="43">
        <f>F67/D67*100</f>
        <v>0.0026190476190476194</v>
      </c>
      <c r="K67" s="43">
        <f>F67-33.47</f>
        <v>-33.36</v>
      </c>
      <c r="L67" s="43">
        <f>F67/33.47*100</f>
        <v>0.3286525246489394</v>
      </c>
      <c r="M67" s="32">
        <f>E67-лютий!E67</f>
        <v>72</v>
      </c>
      <c r="N67" s="178">
        <f>F67-лютий!F67</f>
        <v>0.009999999999999995</v>
      </c>
      <c r="O67" s="40">
        <f aca="true" t="shared" si="15" ref="O67:O80">N67-M67</f>
        <v>-71.99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376.67</v>
      </c>
      <c r="G68" s="36">
        <f t="shared" si="13"/>
        <v>-1014.74</v>
      </c>
      <c r="H68" s="32">
        <f>F68/E68*100</f>
        <v>27.071100538302872</v>
      </c>
      <c r="I68" s="43">
        <f t="shared" si="14"/>
        <v>-7082.33</v>
      </c>
      <c r="J68" s="43">
        <f>F68/D68*100</f>
        <v>5.049872637082719</v>
      </c>
      <c r="K68" s="43">
        <f>F68-1409.78</f>
        <v>-1033.11</v>
      </c>
      <c r="L68" s="43">
        <f>F68/1409.78*100</f>
        <v>26.718353218232632</v>
      </c>
      <c r="M68" s="32">
        <f>E68-лютий!E68</f>
        <v>259.01</v>
      </c>
      <c r="N68" s="178">
        <f>F68-лютий!F68</f>
        <v>0</v>
      </c>
      <c r="O68" s="40">
        <f t="shared" si="15"/>
        <v>-259.01</v>
      </c>
      <c r="P68" s="43">
        <f>N68/M68*100</f>
        <v>0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7684.3</v>
      </c>
      <c r="G69" s="36">
        <f t="shared" si="13"/>
        <v>6797.45</v>
      </c>
      <c r="H69" s="32">
        <f>F69/E69*100</f>
        <v>866.4712183571065</v>
      </c>
      <c r="I69" s="43">
        <f t="shared" si="14"/>
        <v>1684.3000000000002</v>
      </c>
      <c r="J69" s="43">
        <f>F69/D69*100</f>
        <v>128.07166666666666</v>
      </c>
      <c r="K69" s="43">
        <f>F69-11.06</f>
        <v>7673.24</v>
      </c>
      <c r="L69" s="43">
        <f>F69/11.06*100</f>
        <v>69478.30018083182</v>
      </c>
      <c r="M69" s="32">
        <f>E69-лютий!E69</f>
        <v>302</v>
      </c>
      <c r="N69" s="178">
        <f>F69-лютий!F69</f>
        <v>7037.46</v>
      </c>
      <c r="O69" s="40">
        <f t="shared" si="15"/>
        <v>6735.46</v>
      </c>
      <c r="P69" s="43">
        <f>N69/M69*100</f>
        <v>2330.2847682119204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8064.08</v>
      </c>
      <c r="G71" s="45">
        <f t="shared" si="13"/>
        <v>5710.82</v>
      </c>
      <c r="H71" s="52">
        <f>F71/E71*100</f>
        <v>342.67696727093477</v>
      </c>
      <c r="I71" s="44">
        <f t="shared" si="14"/>
        <v>-9606.92</v>
      </c>
      <c r="J71" s="44">
        <f>F71/D71*100</f>
        <v>45.63454247071473</v>
      </c>
      <c r="K71" s="44">
        <f>F71-1454.31</f>
        <v>6609.77</v>
      </c>
      <c r="L71" s="44">
        <f>F71/1454.31*100</f>
        <v>554.4952589200377</v>
      </c>
      <c r="M71" s="45">
        <f>M67+M68+M69+M70</f>
        <v>634.01</v>
      </c>
      <c r="N71" s="183">
        <f>N67+N68+N69+N70</f>
        <v>7038.47</v>
      </c>
      <c r="O71" s="44">
        <f t="shared" si="15"/>
        <v>6404.46</v>
      </c>
      <c r="P71" s="44">
        <f>N71/M71*100</f>
        <v>1110.1512594438575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0.2</v>
      </c>
      <c r="G72" s="36">
        <f t="shared" si="13"/>
        <v>0.2</v>
      </c>
      <c r="H72" s="32"/>
      <c r="I72" s="43">
        <f t="shared" si="14"/>
        <v>-0.8</v>
      </c>
      <c r="J72" s="43"/>
      <c r="K72" s="43">
        <f>F72-0</f>
        <v>0.2</v>
      </c>
      <c r="L72" s="43"/>
      <c r="M72" s="32">
        <f>E72-лютий!E72</f>
        <v>0</v>
      </c>
      <c r="N72" s="178">
        <f>F72-лютий!F72</f>
        <v>0.19</v>
      </c>
      <c r="O72" s="40">
        <f t="shared" si="15"/>
        <v>0.19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2016.7</v>
      </c>
      <c r="G74" s="36">
        <f t="shared" si="13"/>
        <v>11</v>
      </c>
      <c r="H74" s="32">
        <f>F74/E74*100</f>
        <v>100.54843695467916</v>
      </c>
      <c r="I74" s="43">
        <f t="shared" si="14"/>
        <v>-7483.3</v>
      </c>
      <c r="J74" s="40">
        <f>F74/D74*100</f>
        <v>21.228421052631578</v>
      </c>
      <c r="K74" s="40">
        <f>F74-0</f>
        <v>2016.7</v>
      </c>
      <c r="L74" s="43"/>
      <c r="M74" s="32">
        <f>E74-лютий!E74</f>
        <v>0.7999999999999545</v>
      </c>
      <c r="N74" s="178">
        <f>F74-лютий!F74</f>
        <v>3.0399999999999636</v>
      </c>
      <c r="O74" s="40">
        <f>N74-M74</f>
        <v>2.240000000000009</v>
      </c>
      <c r="P74" s="46">
        <f>N74/M74*100</f>
        <v>380.00000000001705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2017.3</v>
      </c>
      <c r="G76" s="30">
        <f>G72+G75+G73+G74</f>
        <v>11.6</v>
      </c>
      <c r="H76" s="52">
        <f>F76/E76*100</f>
        <v>100.57835169766165</v>
      </c>
      <c r="I76" s="44">
        <f t="shared" si="14"/>
        <v>-7483.7</v>
      </c>
      <c r="J76" s="44">
        <f>F76/D76*100</f>
        <v>21.23250184191138</v>
      </c>
      <c r="K76" s="44">
        <f>F76-0.58</f>
        <v>2016.72</v>
      </c>
      <c r="L76" s="44">
        <f>F76/0.58*100</f>
        <v>347810.3448275862</v>
      </c>
      <c r="M76" s="45">
        <f>M72+M75+M73+M74</f>
        <v>0.7999999999999545</v>
      </c>
      <c r="N76" s="183">
        <f>N72+N75+N73+N74</f>
        <v>3.469999999999964</v>
      </c>
      <c r="O76" s="45">
        <f>O72+O75+O73+O74</f>
        <v>2.6700000000000093</v>
      </c>
      <c r="P76" s="44">
        <f>N76/M76*100</f>
        <v>433.7500000000201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0.69</v>
      </c>
      <c r="G77" s="36">
        <f t="shared" si="13"/>
        <v>-12.020000000000001</v>
      </c>
      <c r="H77" s="32">
        <f>F77/E77*100</f>
        <v>5.428796223446105</v>
      </c>
      <c r="I77" s="43">
        <f t="shared" si="14"/>
        <v>-42.31</v>
      </c>
      <c r="J77" s="43">
        <f>F77/D77*100</f>
        <v>1.6046511627906976</v>
      </c>
      <c r="K77" s="43">
        <f>F77-12.95</f>
        <v>-12.26</v>
      </c>
      <c r="L77" s="43">
        <f>F77/12.95*100</f>
        <v>5.328185328185328</v>
      </c>
      <c r="M77" s="32">
        <f>E77-лютий!E77</f>
        <v>11.99</v>
      </c>
      <c r="N77" s="178">
        <f>F77-лютий!F77</f>
        <v>0</v>
      </c>
      <c r="O77" s="40">
        <f t="shared" si="15"/>
        <v>-11.99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10081.8</v>
      </c>
      <c r="G79" s="37">
        <f>F79-E79</f>
        <v>5710.129999999999</v>
      </c>
      <c r="H79" s="38">
        <f>F79/E79*100</f>
        <v>230.61667509212725</v>
      </c>
      <c r="I79" s="28">
        <f>F79-D79</f>
        <v>-17133.2</v>
      </c>
      <c r="J79" s="28">
        <f>F79/D79*100</f>
        <v>37.04501194194378</v>
      </c>
      <c r="K79" s="28">
        <f>F79-1453.19</f>
        <v>8628.609999999999</v>
      </c>
      <c r="L79" s="28">
        <f>F79/1453.19*100</f>
        <v>693.7702571583894</v>
      </c>
      <c r="M79" s="24">
        <f>M65+M77+M71+M76</f>
        <v>646.8</v>
      </c>
      <c r="N79" s="165">
        <f>N65+N77+N71+N76+N78</f>
        <v>7041.9400000000005</v>
      </c>
      <c r="O79" s="28">
        <f t="shared" si="15"/>
        <v>6395.14</v>
      </c>
      <c r="P79" s="28">
        <f>N79/M79*100</f>
        <v>1088.735312306741</v>
      </c>
      <c r="Q79" s="28">
        <f>N79-8104.96</f>
        <v>-1063.0199999999995</v>
      </c>
      <c r="R79" s="101">
        <f>N79/8104.96</f>
        <v>0.8688432762160455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194596.181</v>
      </c>
      <c r="F80" s="24">
        <f>F58+F79</f>
        <v>188311.32999999996</v>
      </c>
      <c r="G80" s="37">
        <f>F80-E80</f>
        <v>-6284.851000000053</v>
      </c>
      <c r="H80" s="38">
        <f>F80/E80*100</f>
        <v>96.77031123236685</v>
      </c>
      <c r="I80" s="28">
        <f>F80-D80</f>
        <v>-722804.27</v>
      </c>
      <c r="J80" s="28">
        <f>F80/D80*100</f>
        <v>20.668214878551083</v>
      </c>
      <c r="K80" s="28">
        <f>K58+K79</f>
        <v>39719.95999999998</v>
      </c>
      <c r="L80" s="28">
        <f>F80/139550.7*100</f>
        <v>134.9411575864542</v>
      </c>
      <c r="M80" s="15">
        <f>M58+M79</f>
        <v>63220.51500000001</v>
      </c>
      <c r="N80" s="15">
        <f>N58+N79</f>
        <v>39928.20499999999</v>
      </c>
      <c r="O80" s="28">
        <f t="shared" si="15"/>
        <v>-23292.31000000002</v>
      </c>
      <c r="P80" s="28">
        <f>N80/M80*100</f>
        <v>63.157038502454434</v>
      </c>
      <c r="Q80" s="28">
        <f>N80-42872.96</f>
        <v>-2944.755000000012</v>
      </c>
      <c r="R80" s="101">
        <f>N80/42872.96</f>
        <v>0.9313143995656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11</v>
      </c>
      <c r="D82" s="4" t="s">
        <v>36</v>
      </c>
      <c r="N82" s="83"/>
    </row>
    <row r="83" spans="2:17" ht="30.75">
      <c r="B83" s="57" t="s">
        <v>54</v>
      </c>
      <c r="C83" s="31">
        <v>3852.6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42445</v>
      </c>
      <c r="D84" s="31">
        <v>2209.2</v>
      </c>
      <c r="G84" s="4" t="s">
        <v>59</v>
      </c>
      <c r="N84" s="195"/>
      <c r="O84" s="195"/>
    </row>
    <row r="85" spans="3:15" ht="15">
      <c r="C85" s="87">
        <v>42444</v>
      </c>
      <c r="D85" s="31">
        <v>3852.6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42443</v>
      </c>
      <c r="D86" s="31">
        <v>2323.3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f>'[1]залишки  (2)'!$G$6/1000</f>
        <v>14.19046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128</v>
      </c>
      <c r="N3" s="220" t="s">
        <v>119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127</v>
      </c>
      <c r="F4" s="203" t="s">
        <v>34</v>
      </c>
      <c r="G4" s="197" t="s">
        <v>116</v>
      </c>
      <c r="H4" s="205" t="s">
        <v>117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140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118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5"/>
      <c r="O84" s="195"/>
    </row>
    <row r="85" spans="3:15" ht="15">
      <c r="C85" s="87">
        <v>42426</v>
      </c>
      <c r="D85" s="31">
        <v>6256.2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42425</v>
      </c>
      <c r="D86" s="31">
        <v>3536.9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505.3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135</v>
      </c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132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129</v>
      </c>
      <c r="F4" s="203" t="s">
        <v>34</v>
      </c>
      <c r="G4" s="197" t="s">
        <v>130</v>
      </c>
      <c r="H4" s="205" t="s">
        <v>131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23" t="s">
        <v>133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134</v>
      </c>
      <c r="L5" s="201"/>
      <c r="M5" s="206"/>
      <c r="N5" s="224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5"/>
      <c r="O84" s="195"/>
    </row>
    <row r="85" spans="3:15" ht="15">
      <c r="C85" s="87">
        <v>42397</v>
      </c>
      <c r="D85" s="31">
        <v>8685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42396</v>
      </c>
      <c r="D86" s="31">
        <v>4820.3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300.92</v>
      </c>
      <c r="E88" s="74"/>
      <c r="F88" s="140"/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136</v>
      </c>
      <c r="C3" s="214" t="s">
        <v>0</v>
      </c>
      <c r="D3" s="215" t="s">
        <v>115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107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104</v>
      </c>
      <c r="F4" s="225" t="s">
        <v>34</v>
      </c>
      <c r="G4" s="197" t="s">
        <v>109</v>
      </c>
      <c r="H4" s="205" t="s">
        <v>110</v>
      </c>
      <c r="I4" s="197" t="s">
        <v>105</v>
      </c>
      <c r="J4" s="205" t="s">
        <v>106</v>
      </c>
      <c r="K4" s="91" t="s">
        <v>65</v>
      </c>
      <c r="L4" s="96" t="s">
        <v>64</v>
      </c>
      <c r="M4" s="205"/>
      <c r="N4" s="223" t="s">
        <v>103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6.5" customHeight="1">
      <c r="A5" s="212"/>
      <c r="B5" s="213"/>
      <c r="C5" s="214"/>
      <c r="D5" s="215"/>
      <c r="E5" s="222"/>
      <c r="F5" s="226"/>
      <c r="G5" s="198"/>
      <c r="H5" s="206"/>
      <c r="I5" s="198"/>
      <c r="J5" s="206"/>
      <c r="K5" s="200" t="s">
        <v>108</v>
      </c>
      <c r="L5" s="201"/>
      <c r="M5" s="206"/>
      <c r="N5" s="224"/>
      <c r="O5" s="198"/>
      <c r="P5" s="199"/>
      <c r="Q5" s="200" t="s">
        <v>126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2"/>
      <c r="H82" s="202"/>
      <c r="I82" s="202"/>
      <c r="J82" s="20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5"/>
      <c r="O83" s="195"/>
    </row>
    <row r="84" spans="3:15" ht="15">
      <c r="C84" s="87">
        <v>42397</v>
      </c>
      <c r="D84" s="31">
        <v>8685</v>
      </c>
      <c r="F84" s="166" t="s">
        <v>59</v>
      </c>
      <c r="G84" s="189"/>
      <c r="H84" s="189"/>
      <c r="I84" s="131"/>
      <c r="J84" s="192"/>
      <c r="K84" s="192"/>
      <c r="L84" s="192"/>
      <c r="M84" s="192"/>
      <c r="N84" s="195"/>
      <c r="O84" s="195"/>
    </row>
    <row r="85" spans="3:15" ht="15.75" customHeight="1">
      <c r="C85" s="87">
        <v>42396</v>
      </c>
      <c r="D85" s="31">
        <v>4820.3</v>
      </c>
      <c r="F85" s="167"/>
      <c r="G85" s="189"/>
      <c r="H85" s="189"/>
      <c r="I85" s="131"/>
      <c r="J85" s="196"/>
      <c r="K85" s="196"/>
      <c r="L85" s="196"/>
      <c r="M85" s="196"/>
      <c r="N85" s="195"/>
      <c r="O85" s="195"/>
    </row>
    <row r="86" spans="3:13" ht="15.75" customHeight="1">
      <c r="C86" s="87"/>
      <c r="F86" s="167"/>
      <c r="G86" s="191"/>
      <c r="H86" s="191"/>
      <c r="I86" s="139"/>
      <c r="J86" s="192"/>
      <c r="K86" s="192"/>
      <c r="L86" s="192"/>
      <c r="M86" s="192"/>
    </row>
    <row r="87" spans="2:13" ht="18.75" customHeight="1">
      <c r="B87" s="193" t="s">
        <v>57</v>
      </c>
      <c r="C87" s="194"/>
      <c r="D87" s="148">
        <v>300.92</v>
      </c>
      <c r="E87" s="74"/>
      <c r="F87" s="168"/>
      <c r="G87" s="189"/>
      <c r="H87" s="189"/>
      <c r="I87" s="141"/>
      <c r="J87" s="192"/>
      <c r="K87" s="192"/>
      <c r="L87" s="192"/>
      <c r="M87" s="192"/>
    </row>
    <row r="88" spans="6:12" ht="9.75" customHeight="1">
      <c r="F88" s="167"/>
      <c r="G88" s="189"/>
      <c r="H88" s="189"/>
      <c r="I88" s="73"/>
      <c r="J88" s="74"/>
      <c r="K88" s="74"/>
      <c r="L88" s="74"/>
    </row>
    <row r="89" spans="2:12" ht="22.5" customHeight="1" hidden="1">
      <c r="B89" s="187" t="s">
        <v>60</v>
      </c>
      <c r="C89" s="188"/>
      <c r="D89" s="86">
        <v>0</v>
      </c>
      <c r="E89" s="56" t="s">
        <v>24</v>
      </c>
      <c r="F89" s="167"/>
      <c r="G89" s="189"/>
      <c r="H89" s="18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9"/>
      <c r="O90" s="189"/>
    </row>
    <row r="91" spans="4:15" ht="15">
      <c r="D91" s="83"/>
      <c r="I91" s="31"/>
      <c r="N91" s="190"/>
      <c r="O91" s="190"/>
    </row>
    <row r="92" spans="14:15" ht="15">
      <c r="N92" s="189"/>
      <c r="O92" s="189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2016-03-04T09:11:32Z</cp:lastPrinted>
  <dcterms:created xsi:type="dcterms:W3CDTF">2003-07-28T11:27:56Z</dcterms:created>
  <dcterms:modified xsi:type="dcterms:W3CDTF">2016-03-17T07:39:32Z</dcterms:modified>
  <cp:category/>
  <cp:version/>
  <cp:contentType/>
  <cp:contentStatus/>
</cp:coreProperties>
</file>